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eyZoubi\Downloads\"/>
    </mc:Choice>
  </mc:AlternateContent>
  <xr:revisionPtr revIDLastSave="0" documentId="13_ncr:1_{8C7B7820-D031-4C95-9BA5-EF85233012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rtgage Calculator" sheetId="1" r:id="rId1"/>
    <sheet name="How To Use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4" i="1" l="1"/>
  <c r="D64" i="1"/>
  <c r="E64" i="1" s="1"/>
  <c r="C64" i="1"/>
  <c r="F63" i="1"/>
  <c r="D63" i="1"/>
  <c r="E63" i="1" s="1"/>
  <c r="C63" i="1"/>
  <c r="F62" i="1"/>
  <c r="D62" i="1"/>
  <c r="E62" i="1" s="1"/>
  <c r="C62" i="1"/>
  <c r="F61" i="1"/>
  <c r="D61" i="1"/>
  <c r="E61" i="1" s="1"/>
  <c r="C61" i="1"/>
  <c r="F60" i="1"/>
  <c r="D60" i="1"/>
  <c r="E60" i="1" s="1"/>
  <c r="C60" i="1"/>
  <c r="F59" i="1"/>
  <c r="D59" i="1"/>
  <c r="E59" i="1" s="1"/>
  <c r="C59" i="1"/>
  <c r="F58" i="1"/>
  <c r="D58" i="1"/>
  <c r="E58" i="1" s="1"/>
  <c r="C58" i="1"/>
  <c r="C43" i="1"/>
  <c r="C42" i="1"/>
  <c r="H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H21" i="1"/>
  <c r="H20" i="1"/>
  <c r="H19" i="1"/>
  <c r="H18" i="1"/>
  <c r="H17" i="1"/>
  <c r="H16" i="1"/>
  <c r="H15" i="1"/>
  <c r="H14" i="1"/>
  <c r="H13" i="1"/>
  <c r="H12" i="1"/>
  <c r="F12" i="1"/>
  <c r="H11" i="1"/>
  <c r="H10" i="1"/>
  <c r="F10" i="1"/>
  <c r="C10" i="1"/>
  <c r="D34" i="1" s="1"/>
  <c r="H9" i="1"/>
  <c r="F9" i="1"/>
  <c r="C9" i="1"/>
  <c r="H8" i="1"/>
  <c r="F8" i="1"/>
  <c r="C27" i="1" l="1"/>
  <c r="F34" i="1"/>
  <c r="F35" i="1"/>
  <c r="E24" i="1"/>
  <c r="E25" i="1"/>
  <c r="F31" i="1"/>
  <c r="F23" i="1"/>
  <c r="E36" i="1"/>
  <c r="F11" i="1"/>
  <c r="F28" i="1"/>
  <c r="F29" i="1"/>
  <c r="F30" i="1"/>
  <c r="C26" i="1"/>
  <c r="D32" i="1"/>
  <c r="I24" i="1"/>
  <c r="F33" i="1"/>
  <c r="I23" i="1"/>
  <c r="C34" i="1"/>
  <c r="I20" i="1"/>
  <c r="E27" i="1"/>
  <c r="F32" i="1"/>
  <c r="I8" i="1"/>
  <c r="I16" i="1"/>
  <c r="C24" i="1"/>
  <c r="I25" i="1"/>
  <c r="F27" i="1"/>
  <c r="D29" i="1"/>
  <c r="E34" i="1"/>
  <c r="C36" i="1"/>
  <c r="C35" i="1"/>
  <c r="I31" i="1"/>
  <c r="I11" i="1"/>
  <c r="C29" i="1"/>
  <c r="F17" i="1"/>
  <c r="F18" i="1" s="1"/>
  <c r="I21" i="1"/>
  <c r="D24" i="1"/>
  <c r="E29" i="1"/>
  <c r="C31" i="1"/>
  <c r="I32" i="1"/>
  <c r="D36" i="1"/>
  <c r="C23" i="1"/>
  <c r="D35" i="1"/>
  <c r="F25" i="1"/>
  <c r="E32" i="1"/>
  <c r="I30" i="1"/>
  <c r="I12" i="1"/>
  <c r="I27" i="1"/>
  <c r="D31" i="1"/>
  <c r="E33" i="1"/>
  <c r="I22" i="1"/>
  <c r="I34" i="1"/>
  <c r="I17" i="1"/>
  <c r="F24" i="1"/>
  <c r="D26" i="1"/>
  <c r="E31" i="1"/>
  <c r="C33" i="1"/>
  <c r="F36" i="1"/>
  <c r="I9" i="1"/>
  <c r="I13" i="1"/>
  <c r="B18" i="1"/>
  <c r="E26" i="1"/>
  <c r="C28" i="1"/>
  <c r="I29" i="1"/>
  <c r="D33" i="1"/>
  <c r="D28" i="1"/>
  <c r="C30" i="1"/>
  <c r="I18" i="1"/>
  <c r="C25" i="1"/>
  <c r="I10" i="1"/>
  <c r="D25" i="1"/>
  <c r="E30" i="1"/>
  <c r="C32" i="1"/>
  <c r="I33" i="1"/>
  <c r="I38" i="1"/>
  <c r="F26" i="1"/>
  <c r="E28" i="1"/>
  <c r="I14" i="1"/>
  <c r="E23" i="1"/>
  <c r="I26" i="1"/>
  <c r="D30" i="1"/>
  <c r="E35" i="1"/>
  <c r="I37" i="1"/>
  <c r="F7" i="1"/>
  <c r="I19" i="1"/>
  <c r="I28" i="1"/>
  <c r="I39" i="1"/>
  <c r="I36" i="1"/>
  <c r="I35" i="1"/>
  <c r="D23" i="1"/>
  <c r="I15" i="1"/>
  <c r="D27" i="1"/>
  <c r="D53" i="1" l="1"/>
  <c r="F14" i="1"/>
  <c r="D49" i="1"/>
  <c r="F15" i="1" l="1"/>
  <c r="D51" i="1"/>
  <c r="C46" i="1"/>
  <c r="C45" i="1"/>
  <c r="C44" i="1"/>
  <c r="D52" i="1"/>
  <c r="D50" i="1"/>
</calcChain>
</file>

<file path=xl/sharedStrings.xml><?xml version="1.0" encoding="utf-8"?>
<sst xmlns="http://schemas.openxmlformats.org/spreadsheetml/2006/main" count="106" uniqueCount="101">
  <si>
    <t>KOBY REED  |  MORTGAGE CALCULATOR</t>
  </si>
  <si>
    <t>Estimate your monthly payment — adjust any input and results update automatically</t>
  </si>
  <si>
    <t xml:space="preserve">  📋  LOAN INPUTS</t>
  </si>
  <si>
    <t xml:space="preserve">  💰  MONTHLY PAYMENT BREAKDOWN</t>
  </si>
  <si>
    <t xml:space="preserve">  📅  AMORTIZATION (Annual)</t>
  </si>
  <si>
    <t>Home Purchase Price</t>
  </si>
  <si>
    <t>Principal &amp; Interest</t>
  </si>
  <si>
    <t>Year</t>
  </si>
  <si>
    <t>Year-End Balance</t>
  </si>
  <si>
    <t>Down Payment ($)</t>
  </si>
  <si>
    <t>Property Tax (Monthly)</t>
  </si>
  <si>
    <t>Down Payment (%)</t>
  </si>
  <si>
    <t>Home Insurance (Monthly)</t>
  </si>
  <si>
    <t>Loan Amount</t>
  </si>
  <si>
    <t>HOA Dues (Monthly)</t>
  </si>
  <si>
    <t>Annual Interest Rate</t>
  </si>
  <si>
    <t>PMI (Monthly)</t>
  </si>
  <si>
    <t>Loan Term (Years)</t>
  </si>
  <si>
    <t>Extra Payment</t>
  </si>
  <si>
    <t>Property Tax (Annual)</t>
  </si>
  <si>
    <t>Home Insurance (Annual)</t>
  </si>
  <si>
    <t>TOTAL MONTHLY PAYMENT</t>
  </si>
  <si>
    <t>Annual Total</t>
  </si>
  <si>
    <t>PMI Rate (Annual %)</t>
  </si>
  <si>
    <t>Extra Monthly Payment</t>
  </si>
  <si>
    <t>Total Interest Paid</t>
  </si>
  <si>
    <t>Total Cost of Loan</t>
  </si>
  <si>
    <t xml:space="preserve">  📊  RATE &amp; TERM COMPARISON  (based on your loan amount)</t>
  </si>
  <si>
    <t>Interest Rate</t>
  </si>
  <si>
    <t>15-Year P&amp;I</t>
  </si>
  <si>
    <t>20-Year P&amp;I</t>
  </si>
  <si>
    <t>25-Year P&amp;I</t>
  </si>
  <si>
    <t>30-Year P&amp;I</t>
  </si>
  <si>
    <t>◀ Your Rate</t>
  </si>
  <si>
    <t>Equity after 5 yrs:</t>
  </si>
  <si>
    <t xml:space="preserve">  🏠  AFFORDABILITY CHECKER</t>
  </si>
  <si>
    <t>Equity after 10 yrs:</t>
  </si>
  <si>
    <t>Annual Household Income</t>
  </si>
  <si>
    <t>Recommended Max Housing (28% rule)</t>
  </si>
  <si>
    <t>Recommended Max Debt + Housing (36% rule)</t>
  </si>
  <si>
    <t>Your Total Monthly Payment</t>
  </si>
  <si>
    <t>Payment vs. 28% Rule</t>
  </si>
  <si>
    <t>DTI Status</t>
  </si>
  <si>
    <t xml:space="preserve">  💵  PAYMENT BREAKDOWN  (% of total payment)</t>
  </si>
  <si>
    <t>Property Tax</t>
  </si>
  <si>
    <t>Home Insurance</t>
  </si>
  <si>
    <t>HOA Dues</t>
  </si>
  <si>
    <t>PMI</t>
  </si>
  <si>
    <t xml:space="preserve">  🏡  DOWN PAYMENT SCENARIOS  (at your purchase price)</t>
  </si>
  <si>
    <t>Down %</t>
  </si>
  <si>
    <t>Down Amount</t>
  </si>
  <si>
    <t>P&amp;I Payment</t>
  </si>
  <si>
    <t>PMI?</t>
  </si>
  <si>
    <t>3%</t>
  </si>
  <si>
    <t>4%</t>
  </si>
  <si>
    <t>5%</t>
  </si>
  <si>
    <t>10%</t>
  </si>
  <si>
    <t>15%</t>
  </si>
  <si>
    <t>20%</t>
  </si>
  <si>
    <t>25%</t>
  </si>
  <si>
    <t>KOBY REED  |  Broker Associate  |  RE/MAX Alliance  |  5440 Ward Rd, Arvada, CO 80002</t>
  </si>
  <si>
    <t>📞 720-722-6563     ✉ koby@kobyreed.com     🌐 kobyreed.com</t>
  </si>
  <si>
    <t>This calculator provides estimates for informational purposes only. Actual rates, payments, and costs will vary. Contact Koby Reed for a personalized analysis.</t>
  </si>
  <si>
    <t>HOW TO USE THIS CALCULATOR</t>
  </si>
  <si>
    <t>SECTION</t>
  </si>
  <si>
    <t>WHAT TO DO</t>
  </si>
  <si>
    <t>🔵 Blue cells</t>
  </si>
  <si>
    <t>These are INPUT cells — enter your own numbers here</t>
  </si>
  <si>
    <t>⚫ Black cells</t>
  </si>
  <si>
    <t>These are FORMULA cells — they calculate automatically</t>
  </si>
  <si>
    <t>HOME PURCHASE PRICE</t>
  </si>
  <si>
    <t>Enter the full asking or purchase price of the home</t>
  </si>
  <si>
    <t>DOWN PAYMENT ($)</t>
  </si>
  <si>
    <t>Enter the dollar amount you plan to put down</t>
  </si>
  <si>
    <t>DOWN PAYMENT (%)</t>
  </si>
  <si>
    <t>Automatically calculated — no need to edit</t>
  </si>
  <si>
    <t>LOAN AMOUNT</t>
  </si>
  <si>
    <t>ANNUAL INTEREST RATE</t>
  </si>
  <si>
    <t>Enter current rate as decimal, e.g. 7% = 0.070</t>
  </si>
  <si>
    <t>LOAN TERM</t>
  </si>
  <si>
    <t>Enter 15 or 30 (years) — most common options</t>
  </si>
  <si>
    <t>PROPERTY TAX</t>
  </si>
  <si>
    <t>In Colorado, typically 0.5–0.6% of home value per year</t>
  </si>
  <si>
    <t>HOME INSURANCE</t>
  </si>
  <si>
    <t>Annual premium — typically $1,200–$2,000/year in CO</t>
  </si>
  <si>
    <t>HOA DUES</t>
  </si>
  <si>
    <t>Enter 0 if no HOA. Monthly amount only</t>
  </si>
  <si>
    <t>PMI RATE</t>
  </si>
  <si>
    <t>If down payment &lt; 20%, PMI applies (~0.5–1.5% annual)</t>
  </si>
  <si>
    <t>EXTRA MONTHLY PAYMENT</t>
  </si>
  <si>
    <t>Optional: paying extra each month reduces your payoff time</t>
  </si>
  <si>
    <t>RATE COMPARISON TABLE</t>
  </si>
  <si>
    <t>Shows P&amp;I payments at different rates — highlighted row = your rate</t>
  </si>
  <si>
    <t>AMORTIZATION SCHEDULE</t>
  </si>
  <si>
    <t>Shows your remaining balance at end of each year</t>
  </si>
  <si>
    <t>DOWN PAYMENT SCENARIOS</t>
  </si>
  <si>
    <t>Compares different down payment amounts side by side</t>
  </si>
  <si>
    <t>AFFORDABILITY CHECKER</t>
  </si>
  <si>
    <t>Enter your income to see if your payment fits the 28%/36% rules</t>
  </si>
  <si>
    <t>Koby Reed  |  720-722-6563  |  koby@kobyreed.com  |  kobyreed.com  |  RE/MAX Alliance, Arvada CO</t>
  </si>
  <si>
    <t>IMPORTANT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</si>
</sst>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"/>
    <numFmt numFmtId="165" formatCode="\$#,##0.00"/>
    <numFmt numFmtId="166" formatCode="0&quot; yr&quot;"/>
    <numFmt numFmtId="167" formatCode="0.0%"/>
    <numFmt numFmtId="168" formatCode="0.000%"/>
    <numFmt numFmtId="169" formatCode="0&quot; years&quot;"/>
  </numFmts>
  <fonts count="23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b/>
      <sz val="12"/>
      <color rgb="FFFFFFFF"/>
      <name val="Arial"/>
      <charset val="1"/>
    </font>
    <font>
      <sz val="10"/>
      <color rgb="FF333333"/>
      <name val="Arial"/>
      <charset val="1"/>
    </font>
    <font>
      <sz val="10"/>
      <color rgb="FF0000CC"/>
      <name val="Arial"/>
      <charset val="1"/>
    </font>
    <font>
      <sz val="10"/>
      <color rgb="FF000000"/>
      <name val="Arial"/>
      <charset val="1"/>
    </font>
    <font>
      <b/>
      <sz val="9"/>
      <color rgb="FFFFFFFF"/>
      <name val="Arial"/>
      <charset val="1"/>
    </font>
    <font>
      <sz val="9"/>
      <color rgb="FF333333"/>
      <name val="Arial"/>
      <charset val="1"/>
    </font>
    <font>
      <sz val="9"/>
      <color rgb="FF000000"/>
      <name val="Arial"/>
      <charset val="1"/>
    </font>
    <font>
      <b/>
      <sz val="11"/>
      <color rgb="FFFFFFFF"/>
      <name val="Arial"/>
      <charset val="1"/>
    </font>
    <font>
      <i/>
      <sz val="9"/>
      <color rgb="FFCC0000"/>
      <name val="Arial"/>
      <charset val="1"/>
    </font>
    <font>
      <b/>
      <sz val="9"/>
      <color rgb="FF1A2744"/>
      <name val="Arial"/>
      <charset val="1"/>
    </font>
    <font>
      <b/>
      <sz val="8"/>
      <color rgb="FF1A2744"/>
      <name val="Arial"/>
      <charset val="1"/>
    </font>
    <font>
      <b/>
      <sz val="9"/>
      <color rgb="FF333333"/>
      <name val="Arial"/>
      <charset val="1"/>
    </font>
    <font>
      <sz val="9"/>
      <color rgb="FF0000CC"/>
      <name val="Arial"/>
      <charset val="1"/>
    </font>
    <font>
      <sz val="10"/>
      <color rgb="FFC9A96E"/>
      <name val="Arial"/>
      <charset val="1"/>
    </font>
    <font>
      <i/>
      <sz val="8"/>
      <color rgb="FF777777"/>
      <name val="Arial"/>
      <charset val="1"/>
    </font>
    <font>
      <b/>
      <sz val="18"/>
      <color rgb="FFFFFFFF"/>
      <name val="Arial"/>
      <charset val="1"/>
    </font>
    <font>
      <b/>
      <sz val="10"/>
      <color rgb="FFFFFFFF"/>
      <name val="Arial"/>
      <charset val="1"/>
    </font>
    <font>
      <b/>
      <i/>
      <sz val="10"/>
      <color rgb="FF777777"/>
      <name val="Arial"/>
      <family val="2"/>
    </font>
    <font>
      <i/>
      <sz val="8"/>
      <color rgb="FF777777"/>
      <name val="Arial"/>
      <family val="2"/>
    </font>
    <font>
      <b/>
      <sz val="10"/>
      <color theme="0"/>
      <name val="Arial"/>
      <family val="2"/>
    </font>
    <font>
      <sz val="16"/>
      <color rgb="FFFF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C9A96E"/>
        <bgColor rgb="FF969696"/>
      </patternFill>
    </fill>
    <fill>
      <patternFill patternType="solid">
        <fgColor rgb="FF1A2744"/>
        <bgColor rgb="FF333333"/>
      </patternFill>
    </fill>
    <fill>
      <patternFill patternType="solid">
        <fgColor rgb="FFE8EDF5"/>
        <bgColor rgb="FFF5F5F5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E8EDF5"/>
      </patternFill>
    </fill>
    <fill>
      <patternFill patternType="solid">
        <fgColor rgb="FFF0E6D0"/>
        <bgColor rgb="FFE0E0E0"/>
      </patternFill>
    </fill>
    <fill>
      <patternFill patternType="solid">
        <fgColor rgb="FF2E7D32"/>
        <bgColor rgb="FF008000"/>
      </patternFill>
    </fill>
    <fill>
      <patternFill patternType="solid">
        <fgColor rgb="FFCC0000"/>
        <bgColor rgb="FF800000"/>
      </patternFill>
    </fill>
    <fill>
      <patternFill patternType="solid">
        <fgColor rgb="FF8B4513"/>
        <bgColor rgb="FF993366"/>
      </patternFill>
    </fill>
    <fill>
      <patternFill patternType="solid">
        <fgColor rgb="FFFFFF00"/>
        <bgColor rgb="FFF5F5F5"/>
      </patternFill>
    </fill>
    <fill>
      <patternFill patternType="solid">
        <fgColor rgb="FFFFFF00"/>
        <bgColor rgb="FFE8EDF5"/>
      </patternFill>
    </fill>
    <fill>
      <patternFill patternType="solid">
        <fgColor rgb="FFFF0000"/>
        <bgColor rgb="FFF5F5F5"/>
      </patternFill>
    </fill>
    <fill>
      <patternFill patternType="solid">
        <fgColor rgb="FFFF0000"/>
        <bgColor rgb="FFE8EDF5"/>
      </patternFill>
    </fill>
  </fills>
  <borders count="19">
    <border>
      <left/>
      <right/>
      <top/>
      <bottom/>
      <diagonal/>
    </border>
    <border>
      <left/>
      <right/>
      <top/>
      <bottom style="thin">
        <color rgb="FFC9A96E"/>
      </bottom>
      <diagonal/>
    </border>
    <border>
      <left style="medium">
        <color rgb="FFC9A96E"/>
      </left>
      <right/>
      <top style="medium">
        <color rgb="FFC9A96E"/>
      </top>
      <bottom style="thin">
        <color rgb="FFE0E0E0"/>
      </bottom>
      <diagonal/>
    </border>
    <border>
      <left/>
      <right style="medium">
        <color rgb="FFC9A96E"/>
      </right>
      <top style="medium">
        <color rgb="FFC9A96E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medium">
        <color rgb="FFC9A96E"/>
      </left>
      <right/>
      <top/>
      <bottom style="thin">
        <color rgb="FFE0E0E0"/>
      </bottom>
      <diagonal/>
    </border>
    <border>
      <left style="thin">
        <color rgb="FFE0E0E0"/>
      </left>
      <right style="medium">
        <color rgb="FFC9A96E"/>
      </right>
      <top/>
      <bottom style="thin">
        <color rgb="FFE0E0E0"/>
      </bottom>
      <diagonal/>
    </border>
    <border>
      <left/>
      <right style="medium">
        <color rgb="FFC9A96E"/>
      </right>
      <top/>
      <bottom style="thin">
        <color rgb="FFE0E0E0"/>
      </bottom>
      <diagonal/>
    </border>
    <border>
      <left style="medium">
        <color rgb="FFC9A96E"/>
      </left>
      <right/>
      <top/>
      <bottom style="thin">
        <color rgb="FFC9A96E"/>
      </bottom>
      <diagonal/>
    </border>
    <border>
      <left/>
      <right style="medium">
        <color rgb="FFC9A96E"/>
      </right>
      <top/>
      <bottom style="thin">
        <color rgb="FFC9A96E"/>
      </bottom>
      <diagonal/>
    </border>
    <border>
      <left style="medium">
        <color rgb="FFC9A96E"/>
      </left>
      <right/>
      <top/>
      <bottom style="medium">
        <color rgb="FFC9A96E"/>
      </bottom>
      <diagonal/>
    </border>
    <border>
      <left/>
      <right style="medium">
        <color rgb="FFC9A96E"/>
      </right>
      <top/>
      <bottom style="medium">
        <color rgb="FFC9A96E"/>
      </bottom>
      <diagonal/>
    </border>
    <border>
      <left/>
      <right/>
      <top style="medium">
        <color rgb="FFC9A96E"/>
      </top>
      <bottom style="thin">
        <color rgb="FFE0E0E0"/>
      </bottom>
      <diagonal/>
    </border>
    <border>
      <left/>
      <right/>
      <top/>
      <bottom style="thin">
        <color rgb="FFE0E0E0"/>
      </bottom>
      <diagonal/>
    </border>
    <border>
      <left/>
      <right/>
      <top/>
      <bottom style="medium">
        <color rgb="FFC9A96E"/>
      </bottom>
      <diagonal/>
    </border>
    <border>
      <left style="thin">
        <color rgb="FFE0E0E0"/>
      </left>
      <right/>
      <top style="thin">
        <color rgb="FFE0E0E0"/>
      </top>
      <bottom style="thin">
        <color rgb="FFE0E0E0"/>
      </bottom>
      <diagonal/>
    </border>
    <border>
      <left/>
      <right/>
      <top/>
      <bottom style="thin">
        <color rgb="FFC7B10B"/>
      </bottom>
      <diagonal/>
    </border>
    <border>
      <left style="medium">
        <color rgb="FFC9A96E"/>
      </left>
      <right/>
      <top style="thin">
        <color rgb="FFC9A96E"/>
      </top>
      <bottom style="thin">
        <color rgb="FFC7B10B"/>
      </bottom>
      <diagonal/>
    </border>
    <border>
      <left/>
      <right style="medium">
        <color rgb="FFC9A96E"/>
      </right>
      <top style="thin">
        <color rgb="FFC9A96E"/>
      </top>
      <bottom style="thin">
        <color rgb="FFC7B10B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7" fontId="8" fillId="5" borderId="15" xfId="0" applyNumberFormat="1" applyFont="1" applyFill="1" applyBorder="1" applyAlignment="1">
      <alignment horizontal="center" vertical="center"/>
    </xf>
    <xf numFmtId="167" fontId="8" fillId="6" borderId="1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0" fillId="2" borderId="0" xfId="0" applyFill="1"/>
    <xf numFmtId="0" fontId="2" fillId="3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/>
    <xf numFmtId="0" fontId="3" fillId="5" borderId="2" xfId="0" applyFont="1" applyFill="1" applyBorder="1" applyAlignment="1">
      <alignment horizontal="left" vertical="center"/>
    </xf>
    <xf numFmtId="164" fontId="4" fillId="5" borderId="3" xfId="0" applyNumberFormat="1" applyFont="1" applyFill="1" applyBorder="1" applyAlignment="1">
      <alignment horizontal="right" vertical="center"/>
    </xf>
    <xf numFmtId="165" fontId="5" fillId="5" borderId="3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164" fontId="4" fillId="6" borderId="6" xfId="0" applyNumberFormat="1" applyFont="1" applyFill="1" applyBorder="1" applyAlignment="1">
      <alignment horizontal="right" vertical="center"/>
    </xf>
    <xf numFmtId="0" fontId="3" fillId="7" borderId="5" xfId="0" applyFont="1" applyFill="1" applyBorder="1" applyAlignment="1">
      <alignment horizontal="left" vertical="center"/>
    </xf>
    <xf numFmtId="165" fontId="5" fillId="7" borderId="7" xfId="0" applyNumberFormat="1" applyFont="1" applyFill="1" applyBorder="1" applyAlignment="1">
      <alignment horizontal="right" vertical="center"/>
    </xf>
    <xf numFmtId="166" fontId="7" fillId="6" borderId="4" xfId="0" applyNumberFormat="1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left" vertical="center"/>
    </xf>
    <xf numFmtId="167" fontId="5" fillId="5" borderId="6" xfId="0" applyNumberFormat="1" applyFont="1" applyFill="1" applyBorder="1" applyAlignment="1">
      <alignment horizontal="right" vertical="center"/>
    </xf>
    <xf numFmtId="165" fontId="5" fillId="5" borderId="7" xfId="0" applyNumberFormat="1" applyFont="1" applyFill="1" applyBorder="1" applyAlignment="1">
      <alignment horizontal="right" vertical="center"/>
    </xf>
    <xf numFmtId="166" fontId="7" fillId="5" borderId="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right" vertical="center"/>
    </xf>
    <xf numFmtId="164" fontId="5" fillId="6" borderId="6" xfId="0" applyNumberFormat="1" applyFont="1" applyFill="1" applyBorder="1" applyAlignment="1">
      <alignment horizontal="right" vertical="center"/>
    </xf>
    <xf numFmtId="168" fontId="4" fillId="5" borderId="6" xfId="0" applyNumberFormat="1" applyFont="1" applyFill="1" applyBorder="1" applyAlignment="1">
      <alignment horizontal="right" vertical="center"/>
    </xf>
    <xf numFmtId="169" fontId="4" fillId="6" borderId="6" xfId="0" applyNumberFormat="1" applyFont="1" applyFill="1" applyBorder="1" applyAlignment="1">
      <alignment horizontal="right" vertical="center"/>
    </xf>
    <xf numFmtId="164" fontId="4" fillId="5" borderId="6" xfId="0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left" vertical="center"/>
    </xf>
    <xf numFmtId="165" fontId="2" fillId="3" borderId="9" xfId="0" applyNumberFormat="1" applyFont="1" applyFill="1" applyBorder="1" applyAlignment="1">
      <alignment horizontal="right" vertical="center"/>
    </xf>
    <xf numFmtId="168" fontId="4" fillId="6" borderId="6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right" vertical="center"/>
    </xf>
    <xf numFmtId="164" fontId="5" fillId="5" borderId="7" xfId="0" applyNumberFormat="1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left" vertical="center"/>
    </xf>
    <xf numFmtId="164" fontId="5" fillId="7" borderId="11" xfId="0" applyNumberFormat="1" applyFont="1" applyFill="1" applyBorder="1" applyAlignment="1">
      <alignment horizontal="right" vertical="center"/>
    </xf>
    <xf numFmtId="168" fontId="7" fillId="6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right" vertical="center"/>
    </xf>
    <xf numFmtId="168" fontId="7" fillId="5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right" vertical="center"/>
    </xf>
    <xf numFmtId="168" fontId="11" fillId="7" borderId="4" xfId="0" applyNumberFormat="1" applyFont="1" applyFill="1" applyBorder="1" applyAlignment="1">
      <alignment horizontal="center" vertical="center"/>
    </xf>
    <xf numFmtId="164" fontId="11" fillId="7" borderId="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7" fontId="8" fillId="0" borderId="0" xfId="0" applyNumberFormat="1" applyFont="1" applyAlignment="1">
      <alignment horizontal="right" vertical="center"/>
    </xf>
    <xf numFmtId="49" fontId="8" fillId="5" borderId="0" xfId="0" applyNumberFormat="1" applyFont="1" applyFill="1" applyAlignment="1">
      <alignment horizontal="left" vertical="center"/>
    </xf>
    <xf numFmtId="0" fontId="0" fillId="3" borderId="4" xfId="0" applyFill="1" applyBorder="1"/>
    <xf numFmtId="0" fontId="7" fillId="6" borderId="4" xfId="0" applyFont="1" applyFill="1" applyBorder="1" applyAlignment="1">
      <alignment horizontal="left" vertical="center"/>
    </xf>
    <xf numFmtId="0" fontId="0" fillId="2" borderId="4" xfId="0" applyFill="1" applyBorder="1"/>
    <xf numFmtId="0" fontId="7" fillId="5" borderId="4" xfId="0" applyFont="1" applyFill="1" applyBorder="1" applyAlignment="1">
      <alignment horizontal="left" vertical="center"/>
    </xf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9" fontId="7" fillId="6" borderId="4" xfId="0" applyNumberFormat="1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/>
    </xf>
    <xf numFmtId="9" fontId="7" fillId="5" borderId="4" xfId="0" applyNumberFormat="1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/>
    </xf>
    <xf numFmtId="9" fontId="11" fillId="7" borderId="4" xfId="0" applyNumberFormat="1" applyFont="1" applyFill="1" applyBorder="1" applyAlignment="1">
      <alignment horizontal="center" vertical="center"/>
    </xf>
    <xf numFmtId="164" fontId="8" fillId="7" borderId="4" xfId="0" applyNumberFormat="1" applyFont="1" applyFill="1" applyBorder="1" applyAlignment="1">
      <alignment horizontal="right" vertical="center"/>
    </xf>
    <xf numFmtId="49" fontId="11" fillId="7" borderId="4" xfId="0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8" fillId="3" borderId="15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11" fillId="7" borderId="4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5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49" fontId="8" fillId="6" borderId="14" xfId="0" applyNumberFormat="1" applyFont="1" applyFill="1" applyBorder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  <xf numFmtId="164" fontId="14" fillId="6" borderId="12" xfId="0" applyNumberFormat="1" applyFont="1" applyFill="1" applyBorder="1" applyAlignment="1">
      <alignment horizontal="left" vertical="center" wrapText="1"/>
    </xf>
    <xf numFmtId="164" fontId="14" fillId="6" borderId="13" xfId="0" applyNumberFormat="1" applyFont="1" applyFill="1" applyBorder="1" applyAlignment="1">
      <alignment horizontal="left" vertical="center" wrapText="1"/>
    </xf>
    <xf numFmtId="164" fontId="8" fillId="5" borderId="13" xfId="0" applyNumberFormat="1" applyFont="1" applyFill="1" applyBorder="1" applyAlignment="1">
      <alignment horizontal="left" vertical="center" wrapText="1"/>
    </xf>
    <xf numFmtId="164" fontId="8" fillId="6" borderId="13" xfId="0" applyNumberFormat="1" applyFont="1" applyFill="1" applyBorder="1" applyAlignment="1">
      <alignment horizontal="left" vertical="center" wrapText="1"/>
    </xf>
    <xf numFmtId="0" fontId="0" fillId="0" borderId="16" xfId="0" applyBorder="1"/>
    <xf numFmtId="0" fontId="3" fillId="5" borderId="17" xfId="0" applyFont="1" applyFill="1" applyBorder="1" applyAlignment="1">
      <alignment horizontal="left" vertical="center"/>
    </xf>
    <xf numFmtId="165" fontId="5" fillId="5" borderId="18" xfId="0" applyNumberFormat="1" applyFont="1" applyFill="1" applyBorder="1" applyAlignment="1">
      <alignment horizontal="right" vertical="center"/>
    </xf>
    <xf numFmtId="0" fontId="11" fillId="11" borderId="4" xfId="0" applyFont="1" applyFill="1" applyBorder="1" applyAlignment="1">
      <alignment horizontal="left" vertical="center"/>
    </xf>
    <xf numFmtId="0" fontId="11" fillId="12" borderId="4" xfId="0" applyFont="1" applyFill="1" applyBorder="1" applyAlignment="1">
      <alignment horizontal="left" vertical="center"/>
    </xf>
    <xf numFmtId="0" fontId="21" fillId="13" borderId="15" xfId="0" applyFont="1" applyFill="1" applyBorder="1" applyAlignment="1">
      <alignment horizontal="left" vertical="center" wrapText="1"/>
    </xf>
    <xf numFmtId="0" fontId="21" fillId="14" borderId="1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A96E"/>
      <rgbColor rgb="FF777777"/>
      <rgbColor rgb="FF9999FF"/>
      <rgbColor rgb="FF993366"/>
      <rgbColor rgb="FFF5F5F5"/>
      <rgbColor rgb="FFE8EDF5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6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2744"/>
      <rgbColor rgb="FF2E7D32"/>
      <rgbColor rgb="FF003300"/>
      <rgbColor rgb="FF333300"/>
      <rgbColor rgb="FF8B451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7B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2744"/>
  </sheetPr>
  <dimension ref="A1:J79"/>
  <sheetViews>
    <sheetView showGridLines="0" tabSelected="1" topLeftCell="A41" zoomScaleNormal="100" workbookViewId="0">
      <selection activeCell="H57" sqref="H57"/>
    </sheetView>
  </sheetViews>
  <sheetFormatPr defaultColWidth="8.7109375" defaultRowHeight="15" x14ac:dyDescent="0.25"/>
  <cols>
    <col min="1" max="1" width="2" customWidth="1"/>
    <col min="2" max="2" width="26" customWidth="1"/>
    <col min="3" max="3" width="18" customWidth="1"/>
    <col min="4" max="4" width="19.85546875" customWidth="1"/>
    <col min="5" max="5" width="26" customWidth="1"/>
    <col min="6" max="6" width="18" customWidth="1"/>
    <col min="7" max="7" width="3" customWidth="1"/>
    <col min="8" max="8" width="24" customWidth="1"/>
    <col min="9" max="9" width="24.42578125" customWidth="1"/>
    <col min="10" max="10" width="2" customWidth="1"/>
  </cols>
  <sheetData>
    <row r="1" spans="1:10" ht="7.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51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7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21.75" customHeight="1" x14ac:dyDescent="0.25">
      <c r="B4" s="68" t="s">
        <v>1</v>
      </c>
      <c r="C4" s="68"/>
      <c r="D4" s="68"/>
      <c r="E4" s="68"/>
      <c r="F4" s="68"/>
      <c r="G4" s="68"/>
      <c r="H4" s="68"/>
      <c r="I4" s="68"/>
    </row>
    <row r="5" spans="1:10" ht="9.75" customHeight="1" x14ac:dyDescent="0.25"/>
    <row r="6" spans="1:10" ht="25.5" customHeight="1" x14ac:dyDescent="0.25">
      <c r="B6" s="7" t="s">
        <v>2</v>
      </c>
      <c r="C6" s="7"/>
      <c r="E6" s="7" t="s">
        <v>3</v>
      </c>
      <c r="F6" s="7"/>
      <c r="H6" s="7" t="s">
        <v>4</v>
      </c>
      <c r="I6" s="7"/>
    </row>
    <row r="7" spans="1:10" ht="19.5" customHeight="1" x14ac:dyDescent="0.25">
      <c r="B7" s="10" t="s">
        <v>5</v>
      </c>
      <c r="C7" s="11">
        <v>450000</v>
      </c>
      <c r="E7" s="10" t="s">
        <v>6</v>
      </c>
      <c r="F7" s="12">
        <f>IFERROR(PMT(C11/12,C12*12,-C10),0)</f>
        <v>2860.8007292704879</v>
      </c>
      <c r="H7" s="13" t="s">
        <v>7</v>
      </c>
      <c r="I7" s="13" t="s">
        <v>8</v>
      </c>
    </row>
    <row r="8" spans="1:10" ht="16.5" customHeight="1" x14ac:dyDescent="0.25">
      <c r="B8" s="14" t="s">
        <v>9</v>
      </c>
      <c r="C8" s="15">
        <v>20000</v>
      </c>
      <c r="E8" s="16" t="s">
        <v>10</v>
      </c>
      <c r="F8" s="17">
        <f>C13/12</f>
        <v>225</v>
      </c>
      <c r="H8" s="18">
        <f>IF(1&lt;=C12,1,"")</f>
        <v>1</v>
      </c>
      <c r="I8" s="19">
        <f>IF(1&lt;=C12,IFERROR(-FV(C11/12,1*12,PMT(C11/12,C12*12,-C10)+C17,C10),0),"")</f>
        <v>496537.45180233155</v>
      </c>
    </row>
    <row r="9" spans="1:10" ht="16.5" customHeight="1" x14ac:dyDescent="0.25">
      <c r="B9" s="20" t="s">
        <v>11</v>
      </c>
      <c r="C9" s="21">
        <f>C8/C7</f>
        <v>4.4444444444444446E-2</v>
      </c>
      <c r="E9" s="20" t="s">
        <v>12</v>
      </c>
      <c r="F9" s="22">
        <f>C14/12</f>
        <v>125</v>
      </c>
      <c r="H9" s="23">
        <f>IF(2&lt;=C12,2,"")</f>
        <v>2</v>
      </c>
      <c r="I9" s="24">
        <f>IF(2&lt;=C12,IFERROR(-FV(C11/12,2*12,PMT(C11/12,C12*12,-C10)+C17,C10),0),"")</f>
        <v>567884.90137542156</v>
      </c>
    </row>
    <row r="10" spans="1:10" ht="16.5" customHeight="1" x14ac:dyDescent="0.25">
      <c r="B10" s="14" t="s">
        <v>13</v>
      </c>
      <c r="C10" s="25">
        <f>C7-C8</f>
        <v>430000</v>
      </c>
      <c r="E10" s="16" t="s">
        <v>14</v>
      </c>
      <c r="F10" s="17">
        <f>C15</f>
        <v>0</v>
      </c>
      <c r="H10" s="18">
        <f>IF(3&lt;=C12,3,"")</f>
        <v>3</v>
      </c>
      <c r="I10" s="19">
        <f>IF(3&lt;=C12,IFERROR(-FV(C11/12,3*12,PMT(C11/12,C12*12,-C10)+C17,C10),0),"")</f>
        <v>644390.06384703633</v>
      </c>
    </row>
    <row r="11" spans="1:10" ht="16.5" customHeight="1" x14ac:dyDescent="0.25">
      <c r="B11" s="20" t="s">
        <v>15</v>
      </c>
      <c r="C11" s="26">
        <v>7.0000000000000007E-2</v>
      </c>
      <c r="E11" s="20" t="s">
        <v>16</v>
      </c>
      <c r="F11" s="22">
        <f>IF(C9&lt;0.2,C10*C16/12,0)</f>
        <v>268.75</v>
      </c>
      <c r="H11" s="23">
        <f>IF(4&lt;=C12,4,"")</f>
        <v>4</v>
      </c>
      <c r="I11" s="24">
        <f>IF(4&lt;=C12,IFERROR(-FV(C11/12,4*12,PMT(C11/12,C12*12,-C10)+C17,C10),0),"")</f>
        <v>726425.79069964378</v>
      </c>
    </row>
    <row r="12" spans="1:10" ht="16.5" customHeight="1" x14ac:dyDescent="0.25">
      <c r="B12" s="14" t="s">
        <v>17</v>
      </c>
      <c r="C12" s="27">
        <v>30</v>
      </c>
      <c r="E12" s="16" t="s">
        <v>18</v>
      </c>
      <c r="F12" s="17">
        <f>C17</f>
        <v>0</v>
      </c>
      <c r="H12" s="18">
        <f>IF(5&lt;=C12,5,"")</f>
        <v>5</v>
      </c>
      <c r="I12" s="19">
        <f>IF(5&lt;=C12,IFERROR(-FV(C11/12,5*12,PMT(C11/12,C12*12,-C10)+C17,C10),0),"")</f>
        <v>814391.8868795262</v>
      </c>
    </row>
    <row r="13" spans="1:10" ht="16.5" customHeight="1" x14ac:dyDescent="0.25">
      <c r="B13" s="20" t="s">
        <v>19</v>
      </c>
      <c r="C13" s="28">
        <v>2700</v>
      </c>
      <c r="E13" s="6"/>
      <c r="F13" s="6"/>
      <c r="H13" s="23">
        <f>IF(6&lt;=C12,6,"")</f>
        <v>6</v>
      </c>
      <c r="I13" s="24">
        <f>IF(6&lt;=C12,IFERROR(-FV(C11/12,6*12,PMT(C11/12,C12*12,-C10)+C17,C10),0),"")</f>
        <v>908717.05926485988</v>
      </c>
    </row>
    <row r="14" spans="1:10" ht="16.5" customHeight="1" x14ac:dyDescent="0.25">
      <c r="B14" s="14" t="s">
        <v>20</v>
      </c>
      <c r="C14" s="15">
        <v>1500</v>
      </c>
      <c r="E14" s="29" t="s">
        <v>21</v>
      </c>
      <c r="F14" s="30">
        <f>F7+F8+F9+F10+F11+F12</f>
        <v>3479.5507292704879</v>
      </c>
      <c r="H14" s="18">
        <f>IF(7&lt;=C12,7,"")</f>
        <v>7</v>
      </c>
      <c r="I14" s="19">
        <f>IF(7&lt;=C12,IFERROR(-FV(C11/12,7*12,PMT(C11/12,C12*12,-C10)+C17,C10),0),"")</f>
        <v>1009861.0059887075</v>
      </c>
    </row>
    <row r="15" spans="1:10" ht="16.5" customHeight="1" x14ac:dyDescent="0.25">
      <c r="B15" s="20" t="s">
        <v>14</v>
      </c>
      <c r="C15" s="28">
        <v>0</v>
      </c>
      <c r="E15" s="84" t="s">
        <v>22</v>
      </c>
      <c r="F15" s="85">
        <f>F14*12</f>
        <v>41754.608751245854</v>
      </c>
      <c r="H15" s="23">
        <f>IF(8&lt;=C12,8,"")</f>
        <v>8</v>
      </c>
      <c r="I15" s="24">
        <f>IF(8&lt;=C12,IFERROR(-FV(C11/12,8*12,PMT(C11/12,C12*12,-C10)+C17,C10),0),"")</f>
        <v>1118316.6567993411</v>
      </c>
    </row>
    <row r="16" spans="1:10" ht="16.5" customHeight="1" x14ac:dyDescent="0.25">
      <c r="B16" s="14" t="s">
        <v>23</v>
      </c>
      <c r="C16" s="31">
        <v>7.4999999999999997E-3</v>
      </c>
      <c r="E16" s="83"/>
      <c r="F16" s="83"/>
      <c r="H16" s="18">
        <f>IF(9&lt;=C12,9,"")</f>
        <v>9</v>
      </c>
      <c r="I16" s="19">
        <f>IF(9&lt;=C12,IFERROR(-FV(C11/12,9*12,PMT(C11/12,C12*12,-C10)+C17,C10),0),"")</f>
        <v>1234612.5753763907</v>
      </c>
    </row>
    <row r="17" spans="2:9" ht="16.5" customHeight="1" thickBot="1" x14ac:dyDescent="0.3">
      <c r="B17" s="32" t="s">
        <v>24</v>
      </c>
      <c r="C17" s="33">
        <v>0</v>
      </c>
      <c r="E17" s="20" t="s">
        <v>25</v>
      </c>
      <c r="F17" s="34">
        <f>IFERROR((PMT(C11/12,C12*12,-C10)*C12*12)-C10,0)</f>
        <v>599888.26253737567</v>
      </c>
      <c r="H17" s="23">
        <f>IF(10&lt;=C12,10,"")</f>
        <v>10</v>
      </c>
      <c r="I17" s="24">
        <f>IF(10&lt;=C12,IFERROR(-FV(C11/12,10*12,PMT(C11/12,C12*12,-C10)+C17,C10),0),"")</f>
        <v>1359315.5353106256</v>
      </c>
    </row>
    <row r="18" spans="2:9" ht="16.5" customHeight="1" thickBot="1" x14ac:dyDescent="0.3">
      <c r="B18" s="5" t="str">
        <f>IF(C9&lt;0.2,"⚠  PMI applies (down payment &lt;20%)","✓  No PMI required (down payment ≥20%)")</f>
        <v>⚠  PMI applies (down payment &lt;20%)</v>
      </c>
      <c r="C18" s="5"/>
      <c r="E18" s="35" t="s">
        <v>26</v>
      </c>
      <c r="F18" s="36">
        <f>C10+F17</f>
        <v>1029888.2625373757</v>
      </c>
      <c r="H18" s="18">
        <f>IF(11&lt;=C12,11,"")</f>
        <v>11</v>
      </c>
      <c r="I18" s="19">
        <f>IF(11&lt;=C12,IFERROR(-FV(C11/12,11*12,PMT(C11/12,C12*12,-C10)+C17,C10),0),"")</f>
        <v>1493033.2823015186</v>
      </c>
    </row>
    <row r="19" spans="2:9" ht="16.5" customHeight="1" x14ac:dyDescent="0.25">
      <c r="H19" s="23">
        <f>IF(12&lt;=C12,12,"")</f>
        <v>12</v>
      </c>
      <c r="I19" s="24">
        <f>IF(12&lt;=C12,IFERROR(-FV(C11/12,12*12,PMT(C11/12,C12*12,-C10)+C17,C10),0),"")</f>
        <v>1636417.4960342967</v>
      </c>
    </row>
    <row r="20" spans="2:9" ht="16.5" customHeight="1" x14ac:dyDescent="0.25">
      <c r="H20" s="18">
        <f>IF(13&lt;=C12,13,"")</f>
        <v>13</v>
      </c>
      <c r="I20" s="19">
        <f>IF(13&lt;=C12,IFERROR(-FV(C11/12,13*12,PMT(C11/12,C12*12,-C10)+C17,C10),0),"")</f>
        <v>1790166.9661713252</v>
      </c>
    </row>
    <row r="21" spans="2:9" ht="16.5" customHeight="1" x14ac:dyDescent="0.25">
      <c r="B21" s="7" t="s">
        <v>27</v>
      </c>
      <c r="C21" s="7"/>
      <c r="D21" s="7"/>
      <c r="E21" s="7"/>
      <c r="F21" s="7"/>
      <c r="H21" s="23">
        <f>IF(14&lt;=C12,14,"")</f>
        <v>14</v>
      </c>
      <c r="I21" s="24">
        <f>IF(14&lt;=C12,IFERROR(-FV(C11/12,14*12,PMT(C11/12,C12*12,-C10)+C17,C10),0),"")</f>
        <v>1955030.9979361631</v>
      </c>
    </row>
    <row r="22" spans="2:9" ht="16.5" customHeight="1" x14ac:dyDescent="0.25">
      <c r="B22" s="13" t="s">
        <v>28</v>
      </c>
      <c r="C22" s="13" t="s">
        <v>29</v>
      </c>
      <c r="D22" s="13" t="s">
        <v>30</v>
      </c>
      <c r="E22" s="13" t="s">
        <v>31</v>
      </c>
      <c r="F22" s="13" t="s">
        <v>32</v>
      </c>
      <c r="H22" s="18">
        <f>IF(15&lt;=C12,15,"")</f>
        <v>15</v>
      </c>
      <c r="I22" s="19">
        <f>IF(15&lt;=C12,IFERROR(-FV(C11/12,15*12,PMT(C11/12,C12*12,-C10)+C17,C10),0),"")</f>
        <v>2131813.0638875659</v>
      </c>
    </row>
    <row r="23" spans="2:9" ht="16.5" customHeight="1" x14ac:dyDescent="0.25">
      <c r="B23" s="37">
        <f>C11+-0.015</f>
        <v>5.5000000000000007E-2</v>
      </c>
      <c r="C23" s="69">
        <f>IFERROR(PMT(B23/12,15*12,-C10),0)</f>
        <v>3513.4588548708984</v>
      </c>
      <c r="D23" s="69">
        <f>IFERROR(PMT(B23/12,20*12,-C10),0)</f>
        <v>2957.9154237947264</v>
      </c>
      <c r="E23" s="69">
        <f>IFERROR(PMT(B23/12,25*12,-C10),0)</f>
        <v>2640.5762168103224</v>
      </c>
      <c r="F23" s="69">
        <f>IFERROR(PMT(B23/12,30*12,-C10),0)</f>
        <v>2441.4927057921132</v>
      </c>
      <c r="H23" s="23">
        <f>IF(16&lt;=C12,16,"")</f>
        <v>16</v>
      </c>
      <c r="I23" s="24">
        <f>IF(16&lt;=C12,IFERROR(-FV(C11/12,16*12,PMT(C11/12,C12*12,-C10)+C17,C10),0),"")</f>
        <v>2321374.7196805282</v>
      </c>
    </row>
    <row r="24" spans="2:9" ht="16.5" customHeight="1" x14ac:dyDescent="0.25">
      <c r="B24" s="39">
        <f>C11+-0.0125</f>
        <v>5.7500000000000009E-2</v>
      </c>
      <c r="C24" s="70">
        <f>IFERROR(PMT(B24/12,15*12,-C10),0)</f>
        <v>3570.7633741845639</v>
      </c>
      <c r="D24" s="70">
        <f>IFERROR(PMT(B24/12,20*12,-C10),0)</f>
        <v>3018.9590838455333</v>
      </c>
      <c r="E24" s="70">
        <f>IFERROR(PMT(B24/12,25*12,-C10),0)</f>
        <v>2705.1575304174298</v>
      </c>
      <c r="F24" s="70">
        <f>IFERROR(PMT(B24/12,30*12,-C10),0)</f>
        <v>2509.3632827072779</v>
      </c>
      <c r="H24" s="18">
        <f>IF(17&lt;=C12,17,"")</f>
        <v>17</v>
      </c>
      <c r="I24" s="19">
        <f>IF(17&lt;=C12,IFERROR(-FV(C11/12,17*12,PMT(C11/12,C12*12,-C10)+C17,C10),0),"")</f>
        <v>2524639.8028980056</v>
      </c>
    </row>
    <row r="25" spans="2:9" ht="16.5" customHeight="1" x14ac:dyDescent="0.25">
      <c r="B25" s="37">
        <f>C11+-0.01</f>
        <v>6.0000000000000005E-2</v>
      </c>
      <c r="C25" s="69">
        <f>IFERROR(PMT(B25/12,15*12,-C10),0)</f>
        <v>3628.5843606083404</v>
      </c>
      <c r="D25" s="69">
        <f>IFERROR(PMT(B25/12,20*12,-C10),0)</f>
        <v>3080.6535514561087</v>
      </c>
      <c r="E25" s="69">
        <f>IFERROR(PMT(B25/12,25*12,-C10),0)</f>
        <v>2770.4960263876869</v>
      </c>
      <c r="F25" s="69">
        <f>IFERROR(PMT(B25/12,30*12,-C10),0)</f>
        <v>2578.0672581568351</v>
      </c>
      <c r="H25" s="23">
        <f>IF(18&lt;=C12,18,"")</f>
        <v>18</v>
      </c>
      <c r="I25" s="24">
        <f>IF(18&lt;=C12,IFERROR(-FV(C11/12,18*12,PMT(C11/12,C12*12,-C10)+C17,C10),0),"")</f>
        <v>2742598.9354165238</v>
      </c>
    </row>
    <row r="26" spans="2:9" ht="16.5" customHeight="1" x14ac:dyDescent="0.25">
      <c r="B26" s="39">
        <f>C11+-0.0075</f>
        <v>6.25E-2</v>
      </c>
      <c r="C26" s="70">
        <f>IFERROR(PMT(B26/12,15*12,-C10),0)</f>
        <v>3686.9183259507199</v>
      </c>
      <c r="D26" s="70">
        <f>IFERROR(PMT(B26/12,20*12,-C10),0)</f>
        <v>3142.9912702235456</v>
      </c>
      <c r="E26" s="70">
        <f>IFERROR(PMT(B26/12,25*12,-C10),0)</f>
        <v>2836.5783267546858</v>
      </c>
      <c r="F26" s="70">
        <f>IFERROR(PMT(B26/12,30*12,-C10),0)</f>
        <v>2647.583961833484</v>
      </c>
      <c r="H26" s="18">
        <f>IF(19&lt;=C12,19,"")</f>
        <v>19</v>
      </c>
      <c r="I26" s="19">
        <f>IF(19&lt;=C12,IFERROR(-FV(C11/12,19*12,PMT(C11/12,C12*12,-C10)+C17,C10),0),"")</f>
        <v>2976314.3512481609</v>
      </c>
    </row>
    <row r="27" spans="2:9" ht="16.5" customHeight="1" x14ac:dyDescent="0.25">
      <c r="B27" s="37">
        <f>C11+-0.005</f>
        <v>6.5000000000000002E-2</v>
      </c>
      <c r="C27" s="69">
        <f>IFERROR(PMT(B27/12,15*12,-C10),0)</f>
        <v>3745.7616707786547</v>
      </c>
      <c r="D27" s="69">
        <f>IFERROR(PMT(B27/12,20*12,-C10),0)</f>
        <v>3205.9644827149177</v>
      </c>
      <c r="E27" s="69">
        <f>IFERROR(PMT(B27/12,25*12,-C10),0)</f>
        <v>2903.3907937948502</v>
      </c>
      <c r="F27" s="69">
        <f>IFERROR(PMT(B27/12,30*12,-C10),0)</f>
        <v>2717.8925010197445</v>
      </c>
      <c r="H27" s="23">
        <f>IF(20&lt;=C12,20,"")</f>
        <v>20</v>
      </c>
      <c r="I27" s="24">
        <f>IF(20&lt;=C12,IFERROR(-FV(C11/12,20*12,PMT(C11/12,C12*12,-C10)+C17,C10),0),"")</f>
        <v>3226925.0733876163</v>
      </c>
    </row>
    <row r="28" spans="2:9" ht="16.5" customHeight="1" x14ac:dyDescent="0.25">
      <c r="B28" s="39">
        <f>C11+-0.0025</f>
        <v>6.7500000000000004E-2</v>
      </c>
      <c r="C28" s="70">
        <f>IFERROR(PMT(B28/12,15*12,-C10),0)</f>
        <v>3805.1106876922913</v>
      </c>
      <c r="D28" s="70">
        <f>IFERROR(PMT(B28/12,20*12,-C10),0)</f>
        <v>3269.565241981139</v>
      </c>
      <c r="E28" s="70">
        <f>IFERROR(PMT(B28/12,25*12,-C10),0)</f>
        <v>2970.9195584143808</v>
      </c>
      <c r="F28" s="70">
        <f>IFERROR(PMT(B28/12,30*12,-C10),0)</f>
        <v>2788.9718152433256</v>
      </c>
      <c r="H28" s="18">
        <f>IF(21&lt;=C12,21,"")</f>
        <v>21</v>
      </c>
      <c r="I28" s="19">
        <f>IF(21&lt;=C12,IFERROR(-FV(C11/12,21*12,PMT(C11/12,C12*12,-C10)+C17,C10),0),"")</f>
        <v>3495652.464893972</v>
      </c>
    </row>
    <row r="29" spans="2:9" ht="16.5" customHeight="1" x14ac:dyDescent="0.25">
      <c r="B29" s="41">
        <f>C11</f>
        <v>7.0000000000000007E-2</v>
      </c>
      <c r="C29" s="71">
        <f>IFERROR(PMT(B29/12,15*12,-C10),0)</f>
        <v>3864.9615646654365</v>
      </c>
      <c r="D29" s="71">
        <f>IFERROR(PMT(B29/12,20*12,-C10),0)</f>
        <v>3333.7854231611609</v>
      </c>
      <c r="E29" s="71">
        <f>IFERROR(PMT(B29/12,25*12,-C10),0)</f>
        <v>3039.1505482828948</v>
      </c>
      <c r="F29" s="71">
        <f>IFERROR(PMT(B29/12,30*12,-C10),0)</f>
        <v>2860.8007292704879</v>
      </c>
      <c r="G29" s="43" t="s">
        <v>33</v>
      </c>
      <c r="H29" s="23">
        <f>IF(22&lt;=C12,22,"")</f>
        <v>22</v>
      </c>
      <c r="I29" s="24">
        <f>IF(22&lt;=C12,IFERROR(-FV(C11/12,22*12,PMT(C11/12,C12*12,-C10)+C17,C10),0),"")</f>
        <v>3783806.1812606072</v>
      </c>
    </row>
    <row r="30" spans="2:9" ht="16.5" customHeight="1" x14ac:dyDescent="0.25">
      <c r="B30" s="39">
        <f>C11+0.0025</f>
        <v>7.2500000000000009E-2</v>
      </c>
      <c r="C30" s="70">
        <f>IFERROR(PMT(B30/12,15*12,-C10),0)</f>
        <v>3925.3103884461407</v>
      </c>
      <c r="D30" s="70">
        <f>IFERROR(PMT(B30/12,20*12,-C10),0)</f>
        <v>3398.6167351460094</v>
      </c>
      <c r="E30" s="70">
        <f>IFERROR(PMT(B30/12,25*12,-C10),0)</f>
        <v>3108.0695156178122</v>
      </c>
      <c r="F30" s="70">
        <f>IFERROR(PMT(B30/12,30*12,-C10),0)</f>
        <v>2933.3580042416252</v>
      </c>
      <c r="H30" s="18">
        <f>IF(23&lt;=C12,23,"")</f>
        <v>23</v>
      </c>
      <c r="I30" s="19">
        <f>IF(23&lt;=C12,IFERROR(-FV(C11/12,23*12,PMT(C11/12,C12*12,-C10)+C17,C10),0),"")</f>
        <v>4092790.5530824121</v>
      </c>
    </row>
    <row r="31" spans="2:9" ht="16.5" customHeight="1" x14ac:dyDescent="0.25">
      <c r="B31" s="37">
        <f>C11+0.005</f>
        <v>7.5000000000000011E-2</v>
      </c>
      <c r="C31" s="69">
        <f>IFERROR(PMT(B31/12,15*12,-C10),0)</f>
        <v>3986.1531480117737</v>
      </c>
      <c r="D31" s="69">
        <f>IFERROR(PMT(B31/12,20*12,-C10),0)</f>
        <v>3464.0507322727717</v>
      </c>
      <c r="E31" s="69">
        <f>IFERROR(PMT(B31/12,25*12,-C10),0)</f>
        <v>3177.6620645290759</v>
      </c>
      <c r="F31" s="69">
        <f>IFERROR(PMT(B31/12,30*12,-C10),0)</f>
        <v>3006.6223867769509</v>
      </c>
      <c r="H31" s="23">
        <f>IF(24&lt;=C12,24,"")</f>
        <v>24</v>
      </c>
      <c r="I31" s="24">
        <f>IF(24&lt;=C12,IFERROR(-FV(C11/12,24*12,PMT(C11/12,C12*12,-C10)+C17,C10),0),"")</f>
        <v>4424111.4301265283</v>
      </c>
    </row>
    <row r="32" spans="2:9" ht="16.5" customHeight="1" x14ac:dyDescent="0.25">
      <c r="B32" s="39">
        <f>C11+0.0075</f>
        <v>7.7500000000000013E-2</v>
      </c>
      <c r="C32" s="70">
        <f>IFERROR(PMT(B32/12,15*12,-C10),0)</f>
        <v>4047.4857380729295</v>
      </c>
      <c r="D32" s="70">
        <f>IFERROR(PMT(B32/12,20*12,-C10),0)</f>
        <v>3530.0788260193854</v>
      </c>
      <c r="E32" s="70">
        <f>IFERROR(PMT(B32/12,25*12,-C10),0)</f>
        <v>3247.9136778397151</v>
      </c>
      <c r="F32" s="70">
        <f>IFERROR(PMT(B32/12,30*12,-C10),0)</f>
        <v>3080.5726559038867</v>
      </c>
      <c r="H32" s="18">
        <f>IF(25&lt;=C12,25,"")</f>
        <v>25</v>
      </c>
      <c r="I32" s="19">
        <f>IF(25&lt;=C12,IFERROR(-FV(C11/12,25*12,PMT(C11/12,C12*12,-C10)+C17,C10),0),"")</f>
        <v>4779383.5201615216</v>
      </c>
    </row>
    <row r="33" spans="2:9" ht="16.5" customHeight="1" x14ac:dyDescent="0.25">
      <c r="B33" s="37">
        <f>C11+0.01</f>
        <v>0.08</v>
      </c>
      <c r="C33" s="69">
        <f>IFERROR(PMT(B33/12,15*12,-C10),0)</f>
        <v>4109.3039626205109</v>
      </c>
      <c r="D33" s="69">
        <f>IFERROR(PMT(B33/12,20*12,-C10),0)</f>
        <v>3596.6922966718903</v>
      </c>
      <c r="E33" s="69">
        <f>IFERROR(PMT(B33/12,25*12,-C10),0)</f>
        <v>3318.8097433039134</v>
      </c>
      <c r="F33" s="69">
        <f>IFERROR(PMT(B33/12,30*12,-C10),0)</f>
        <v>3155.1876676813176</v>
      </c>
      <c r="H33" s="23">
        <f>IF(26&lt;=C12,26,"")</f>
        <v>26</v>
      </c>
      <c r="I33" s="24">
        <f>IF(26&lt;=C12,IFERROR(-FV(C11/12,26*12,PMT(C11/12,C12*12,-C10)+C17,C10),0),"")</f>
        <v>5160338.2583111096</v>
      </c>
    </row>
    <row r="34" spans="2:9" ht="16.5" customHeight="1" x14ac:dyDescent="0.25">
      <c r="B34" s="39">
        <f>C11+0.0125</f>
        <v>8.2500000000000004E-2</v>
      </c>
      <c r="C34" s="70">
        <f>IFERROR(PMT(B34/12,15*12,-C10),0)</f>
        <v>4171.6035385103951</v>
      </c>
      <c r="D34" s="70">
        <f>IFERROR(PMT(B34/12,20*12,-C10),0)</f>
        <v>3663.8823049367456</v>
      </c>
      <c r="E34" s="70">
        <f>IFERROR(PMT(B34/12,25*12,-C10),0)</f>
        <v>3390.3355791506069</v>
      </c>
      <c r="F34" s="70">
        <f>IFERROR(PMT(B34/12,30*12,-C10),0)</f>
        <v>3230.4463974189725</v>
      </c>
      <c r="H34" s="18">
        <f>IF(27&lt;=C12,27,"")</f>
        <v>27</v>
      </c>
      <c r="I34" s="19">
        <f>IF(27&lt;=C12,IFERROR(-FV(C11/12,27*12,PMT(C11/12,C12*12,-C10)+C17,C10),0),"")</f>
        <v>5568832.2452840973</v>
      </c>
    </row>
    <row r="35" spans="2:9" ht="16.5" customHeight="1" x14ac:dyDescent="0.25">
      <c r="B35" s="37">
        <f>C11+0.015</f>
        <v>8.5000000000000006E-2</v>
      </c>
      <c r="C35" s="69">
        <f>IFERROR(PMT(B35/12,15*12,-C10),0)</f>
        <v>4234.380099080051</v>
      </c>
      <c r="D35" s="69">
        <f>IFERROR(PMT(B35/12,20*12,-C10),0)</f>
        <v>3731.6399034717961</v>
      </c>
      <c r="E35" s="69">
        <f>IFERROR(PMT(B35/12,25*12,-C10),0)</f>
        <v>3462.4764588871644</v>
      </c>
      <c r="F35" s="69">
        <f>IFERROR(PMT(B35/12,30*12,-C10),0)</f>
        <v>3306.3279794126347</v>
      </c>
      <c r="H35" s="23">
        <f>IF(28&lt;=C12,28,"")</f>
        <v>28</v>
      </c>
      <c r="I35" s="24">
        <f>IF(28&lt;=C12,IFERROR(-FV(C11/12,28*12,PMT(C11/12,C12*12,-C10)+C17,C10),0),"")</f>
        <v>6006856.2956046481</v>
      </c>
    </row>
    <row r="36" spans="2:9" ht="16.5" customHeight="1" x14ac:dyDescent="0.25">
      <c r="B36" s="39">
        <f>C11+0.02</f>
        <v>9.0000000000000011E-2</v>
      </c>
      <c r="C36" s="70">
        <f>IFERROR(PMT(B36/12,15*12,-C10),0)</f>
        <v>4361.3463118956761</v>
      </c>
      <c r="D36" s="70">
        <f>IFERROR(PMT(B36/12,20*12,-C10),0)</f>
        <v>3868.8216101557437</v>
      </c>
      <c r="E36" s="70">
        <f>IFERROR(PMT(B36/12,25*12,-C10),0)</f>
        <v>3608.5443636298273</v>
      </c>
      <c r="F36" s="70">
        <f>IFERROR(PMT(B36/12,30*12,-C10),0)</f>
        <v>3459.8772528625655</v>
      </c>
      <c r="H36" s="18">
        <f>IF(29&lt;=C12,29,"")</f>
        <v>29</v>
      </c>
      <c r="I36" s="19">
        <f>IF(29&lt;=C12,IFERROR(-FV(C11/12,29*12,PMT(C11/12,C12*12,-C10)+C17,C10),0),"")</f>
        <v>6476545.1399398493</v>
      </c>
    </row>
    <row r="37" spans="2:9" ht="16.5" customHeight="1" x14ac:dyDescent="0.25">
      <c r="H37" s="23">
        <f>IF(30&lt;=C12,30,"")</f>
        <v>30</v>
      </c>
      <c r="I37" s="24">
        <f>IF(30&lt;=C12,IFERROR(-FV(C11/12,30*12,PMT(C11/12,C12*12,-C10)+C17,C10),0),"")</f>
        <v>6980187.8288093116</v>
      </c>
    </row>
    <row r="38" spans="2:9" ht="15.75" customHeight="1" x14ac:dyDescent="0.25">
      <c r="H38" s="44" t="s">
        <v>34</v>
      </c>
      <c r="I38" s="45">
        <f>IFERROR(1-((-FV(C11/12,5*12,PMT(C11/12,C12*12,-C10),C10))/C10),0)</f>
        <v>-0.89393462065006091</v>
      </c>
    </row>
    <row r="39" spans="2:9" ht="15.75" customHeight="1" x14ac:dyDescent="0.25">
      <c r="B39" s="7" t="s">
        <v>35</v>
      </c>
      <c r="C39" s="7"/>
      <c r="D39" s="7"/>
      <c r="E39" s="7"/>
      <c r="F39" s="7"/>
      <c r="H39" s="44" t="s">
        <v>36</v>
      </c>
      <c r="I39" s="45">
        <f>IFERROR(1-((-FV(C11/12,10*12,PMT(C11/12,C12*12,-C10),C10))/C10),0)</f>
        <v>-2.161198919327036</v>
      </c>
    </row>
    <row r="40" spans="2:9" s="73" customFormat="1" ht="25.5" customHeight="1" x14ac:dyDescent="0.25">
      <c r="B40" s="72" t="s">
        <v>37</v>
      </c>
      <c r="C40" s="79">
        <v>120000</v>
      </c>
      <c r="D40" s="79"/>
      <c r="E40" s="79"/>
      <c r="F40" s="79"/>
    </row>
    <row r="41" spans="2:9" s="73" customFormat="1" ht="25.5" customHeight="1" x14ac:dyDescent="0.25">
      <c r="B41" s="74" t="s">
        <v>38</v>
      </c>
      <c r="C41" s="80">
        <v>120000</v>
      </c>
      <c r="D41" s="80"/>
      <c r="E41" s="80"/>
      <c r="F41" s="80"/>
    </row>
    <row r="42" spans="2:9" s="73" customFormat="1" ht="25.5" customHeight="1" x14ac:dyDescent="0.25">
      <c r="B42" s="75" t="s">
        <v>39</v>
      </c>
      <c r="C42" s="81">
        <f>C41*0.28/12</f>
        <v>2800</v>
      </c>
      <c r="D42" s="81"/>
      <c r="E42" s="81"/>
      <c r="F42" s="81"/>
    </row>
    <row r="43" spans="2:9" s="73" customFormat="1" ht="25.5" customHeight="1" x14ac:dyDescent="0.25">
      <c r="B43" s="74" t="s">
        <v>40</v>
      </c>
      <c r="C43" s="82">
        <f>C41*0.36/12</f>
        <v>3600</v>
      </c>
      <c r="D43" s="82"/>
      <c r="E43" s="82"/>
      <c r="F43" s="82"/>
    </row>
    <row r="44" spans="2:9" s="73" customFormat="1" ht="25.5" customHeight="1" x14ac:dyDescent="0.25">
      <c r="B44" s="75" t="s">
        <v>41</v>
      </c>
      <c r="C44" s="81">
        <f>F14</f>
        <v>3479.5507292704879</v>
      </c>
      <c r="D44" s="81"/>
      <c r="E44" s="81"/>
      <c r="F44" s="81"/>
    </row>
    <row r="45" spans="2:9" s="73" customFormat="1" ht="25.5" customHeight="1" x14ac:dyDescent="0.25">
      <c r="B45" s="76" t="s">
        <v>42</v>
      </c>
      <c r="C45" s="77" t="str">
        <f>IF(F14&lt;=C42,"✅  Within 28% budget guideline","⚠  Exceeds 28% guideline")</f>
        <v>⚠  Exceeds 28% guideline</v>
      </c>
      <c r="D45" s="77"/>
      <c r="E45" s="77"/>
      <c r="F45" s="77"/>
    </row>
    <row r="46" spans="2:9" ht="18" customHeight="1" x14ac:dyDescent="0.25">
      <c r="C46" s="46" t="str">
        <f>IF(F14&lt;=C43,"✅  Within 36% DTI guideline","⚠  Exceeds 36% DTI guideline")</f>
        <v>✅  Within 36% DTI guideline</v>
      </c>
    </row>
    <row r="47" spans="2:9" ht="13.5" customHeight="1" x14ac:dyDescent="0.25"/>
    <row r="48" spans="2:9" ht="25.5" customHeight="1" x14ac:dyDescent="0.25">
      <c r="B48" s="7" t="s">
        <v>43</v>
      </c>
      <c r="C48" s="7"/>
      <c r="D48" s="7"/>
      <c r="E48" s="7"/>
      <c r="F48" s="7"/>
    </row>
    <row r="49" spans="2:6" ht="19.5" customHeight="1" x14ac:dyDescent="0.25">
      <c r="B49" s="47"/>
      <c r="C49" s="48" t="s">
        <v>6</v>
      </c>
      <c r="D49" s="4">
        <f>F7/F14</f>
        <v>0.82217531855621906</v>
      </c>
      <c r="E49" s="4"/>
      <c r="F49" s="4"/>
    </row>
    <row r="50" spans="2:6" ht="19.5" customHeight="1" x14ac:dyDescent="0.25">
      <c r="B50" s="49"/>
      <c r="C50" s="50" t="s">
        <v>44</v>
      </c>
      <c r="D50" s="3">
        <f>F8/F14</f>
        <v>6.4663520525011231E-2</v>
      </c>
      <c r="E50" s="3"/>
      <c r="F50" s="3"/>
    </row>
    <row r="51" spans="2:6" ht="19.5" customHeight="1" x14ac:dyDescent="0.25">
      <c r="B51" s="51"/>
      <c r="C51" s="48" t="s">
        <v>45</v>
      </c>
      <c r="D51" s="4">
        <f>F9/F14</f>
        <v>3.5924178069450682E-2</v>
      </c>
      <c r="E51" s="4"/>
      <c r="F51" s="4"/>
    </row>
    <row r="52" spans="2:6" ht="19.5" customHeight="1" x14ac:dyDescent="0.25">
      <c r="B52" s="52"/>
      <c r="C52" s="50" t="s">
        <v>46</v>
      </c>
      <c r="D52" s="3">
        <f>F10/F14</f>
        <v>0</v>
      </c>
      <c r="E52" s="3"/>
      <c r="F52" s="3"/>
    </row>
    <row r="53" spans="2:6" ht="19.5" customHeight="1" x14ac:dyDescent="0.25">
      <c r="B53" s="53"/>
      <c r="C53" s="48" t="s">
        <v>47</v>
      </c>
      <c r="D53" s="4">
        <f>IF(F11&gt;0,F11/F14,0)</f>
        <v>7.7236982849318972E-2</v>
      </c>
      <c r="E53" s="4"/>
      <c r="F53" s="4"/>
    </row>
    <row r="54" spans="2:6" ht="18" customHeight="1" x14ac:dyDescent="0.25"/>
    <row r="55" spans="2:6" ht="13.5" customHeight="1" x14ac:dyDescent="0.25"/>
    <row r="56" spans="2:6" ht="25.5" customHeight="1" x14ac:dyDescent="0.25">
      <c r="B56" s="7" t="s">
        <v>48</v>
      </c>
      <c r="C56" s="7"/>
      <c r="D56" s="7"/>
      <c r="E56" s="7"/>
      <c r="F56" s="7"/>
    </row>
    <row r="57" spans="2:6" ht="19.5" customHeight="1" x14ac:dyDescent="0.25">
      <c r="B57" s="13" t="s">
        <v>49</v>
      </c>
      <c r="C57" s="13" t="s">
        <v>50</v>
      </c>
      <c r="D57" s="13" t="s">
        <v>13</v>
      </c>
      <c r="E57" s="13" t="s">
        <v>51</v>
      </c>
      <c r="F57" s="13" t="s">
        <v>52</v>
      </c>
    </row>
    <row r="58" spans="2:6" ht="18" customHeight="1" x14ac:dyDescent="0.25">
      <c r="B58" s="54" t="s">
        <v>53</v>
      </c>
      <c r="C58" s="38">
        <f>C7*0.03</f>
        <v>13500</v>
      </c>
      <c r="D58" s="19">
        <f>C7*(1-0.03)</f>
        <v>436500</v>
      </c>
      <c r="E58" s="19">
        <f>IFERROR(PMT(C11/12,C12*12,-D58),0)</f>
        <v>2904.0453914571349</v>
      </c>
      <c r="F58" s="55" t="str">
        <f>IF(0.03&lt;0.2,"Yes","No")</f>
        <v>Yes</v>
      </c>
    </row>
    <row r="59" spans="2:6" ht="18" customHeight="1" x14ac:dyDescent="0.25">
      <c r="B59" s="56" t="s">
        <v>54</v>
      </c>
      <c r="C59" s="40">
        <f>C7*0.035</f>
        <v>15750.000000000002</v>
      </c>
      <c r="D59" s="24">
        <f>C7*(1-0.035)</f>
        <v>434250</v>
      </c>
      <c r="E59" s="24">
        <f>IFERROR(PMT(C11/12,C12*12,-D59),0)</f>
        <v>2889.076085315603</v>
      </c>
      <c r="F59" s="57" t="str">
        <f>IF(0.035&lt;0.2,"Yes","No")</f>
        <v>Yes</v>
      </c>
    </row>
    <row r="60" spans="2:6" ht="18" customHeight="1" x14ac:dyDescent="0.25">
      <c r="B60" s="54" t="s">
        <v>55</v>
      </c>
      <c r="C60" s="38">
        <f>C7*0.05</f>
        <v>22500</v>
      </c>
      <c r="D60" s="19">
        <f>C7*(1-0.05)</f>
        <v>427500</v>
      </c>
      <c r="E60" s="19">
        <f>IFERROR(PMT(C11/12,C12*12,-D60),0)</f>
        <v>2844.1681668910082</v>
      </c>
      <c r="F60" s="55" t="str">
        <f>IF(0.05&lt;0.2,"Yes","No")</f>
        <v>Yes</v>
      </c>
    </row>
    <row r="61" spans="2:6" ht="18" customHeight="1" x14ac:dyDescent="0.25">
      <c r="B61" s="56" t="s">
        <v>56</v>
      </c>
      <c r="C61" s="40">
        <f>C7*0.1</f>
        <v>45000</v>
      </c>
      <c r="D61" s="24">
        <f>C7*(1-0.1)</f>
        <v>405000</v>
      </c>
      <c r="E61" s="24">
        <f>IFERROR(PMT(C11/12,C12*12,-D61),0)</f>
        <v>2694.4751054756921</v>
      </c>
      <c r="F61" s="57" t="str">
        <f>IF(0.1&lt;0.2,"Yes","No")</f>
        <v>Yes</v>
      </c>
    </row>
    <row r="62" spans="2:6" ht="18" customHeight="1" x14ac:dyDescent="0.25">
      <c r="B62" s="54" t="s">
        <v>57</v>
      </c>
      <c r="C62" s="38">
        <f>C7*0.15</f>
        <v>67500</v>
      </c>
      <c r="D62" s="19">
        <f>C7*(1-0.15)</f>
        <v>382500</v>
      </c>
      <c r="E62" s="19">
        <f>IFERROR(PMT(C11/12,C12*12,-D62),0)</f>
        <v>2544.7820440603759</v>
      </c>
      <c r="F62" s="55" t="str">
        <f>IF(0.15&lt;0.2,"Yes","No")</f>
        <v>Yes</v>
      </c>
    </row>
    <row r="63" spans="2:6" ht="18" customHeight="1" x14ac:dyDescent="0.25">
      <c r="B63" s="58" t="s">
        <v>58</v>
      </c>
      <c r="C63" s="42">
        <f>C7*0.2</f>
        <v>90000</v>
      </c>
      <c r="D63" s="59">
        <f>C7*(1-0.2)</f>
        <v>360000</v>
      </c>
      <c r="E63" s="59">
        <f>IFERROR(PMT(C11/12,C12*12,-D63),0)</f>
        <v>2395.0889826450593</v>
      </c>
      <c r="F63" s="60" t="str">
        <f>IF(0.2&lt;0.2,"Yes","No")</f>
        <v>No</v>
      </c>
    </row>
    <row r="64" spans="2:6" ht="18" customHeight="1" x14ac:dyDescent="0.25">
      <c r="B64" s="54" t="s">
        <v>59</v>
      </c>
      <c r="C64" s="38">
        <f>C7*0.25</f>
        <v>112500</v>
      </c>
      <c r="D64" s="19">
        <f>C7*(1-0.25)</f>
        <v>337500</v>
      </c>
      <c r="E64" s="19">
        <f>IFERROR(PMT(C11/12,C12*12,-D64),0)</f>
        <v>2245.3959212297436</v>
      </c>
      <c r="F64" s="55" t="str">
        <f>IF(0.25&lt;0.2,"Yes","No")</f>
        <v>No</v>
      </c>
    </row>
    <row r="65" spans="1:10" ht="18" customHeight="1" x14ac:dyDescent="0.25"/>
    <row r="66" spans="1:10" ht="9.75" customHeight="1" x14ac:dyDescent="0.25"/>
    <row r="67" spans="1:10" ht="6" customHeight="1" x14ac:dyDescent="0.25">
      <c r="B67" s="9"/>
      <c r="C67" s="9"/>
      <c r="D67" s="9"/>
      <c r="E67" s="9"/>
      <c r="F67" s="9"/>
      <c r="G67" s="9"/>
      <c r="H67" s="9"/>
      <c r="I67" s="9"/>
      <c r="J67" s="9"/>
    </row>
    <row r="68" spans="1:10" ht="27.75" customHeight="1" x14ac:dyDescent="0.25">
      <c r="A68" s="2" t="s">
        <v>60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ht="18" customHeight="1" x14ac:dyDescent="0.25">
      <c r="A69" s="1" t="s">
        <v>61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6" customHeight="1" x14ac:dyDescent="0.25"/>
    <row r="71" spans="1:10" ht="27.75" customHeight="1" x14ac:dyDescent="0.25">
      <c r="B71" s="78" t="s">
        <v>62</v>
      </c>
      <c r="C71" s="62"/>
      <c r="D71" s="62"/>
      <c r="E71" s="62"/>
      <c r="F71" s="62"/>
      <c r="G71" s="62"/>
      <c r="H71" s="62"/>
      <c r="I71" s="62"/>
    </row>
    <row r="72" spans="1:10" ht="18" customHeight="1" x14ac:dyDescent="0.25"/>
    <row r="73" spans="1:10" ht="18" customHeight="1" x14ac:dyDescent="0.25"/>
    <row r="74" spans="1:10" ht="18" customHeight="1" x14ac:dyDescent="0.25"/>
    <row r="75" spans="1:10" ht="18" customHeight="1" x14ac:dyDescent="0.25"/>
    <row r="76" spans="1:10" ht="18" customHeight="1" x14ac:dyDescent="0.25"/>
    <row r="77" spans="1:10" ht="18" customHeight="1" x14ac:dyDescent="0.25"/>
    <row r="78" spans="1:10" ht="18" customHeight="1" x14ac:dyDescent="0.25"/>
    <row r="79" spans="1:10" ht="18" customHeight="1" x14ac:dyDescent="0.25"/>
  </sheetData>
  <mergeCells count="25">
    <mergeCell ref="D53:F53"/>
    <mergeCell ref="B56:F56"/>
    <mergeCell ref="A68:J68"/>
    <mergeCell ref="A69:J69"/>
    <mergeCell ref="B71:I71"/>
    <mergeCell ref="B48:F48"/>
    <mergeCell ref="D49:F49"/>
    <mergeCell ref="D50:F50"/>
    <mergeCell ref="D51:F51"/>
    <mergeCell ref="D52:F52"/>
    <mergeCell ref="C41:F41"/>
    <mergeCell ref="C42:F42"/>
    <mergeCell ref="C43:F43"/>
    <mergeCell ref="C44:F44"/>
    <mergeCell ref="C45:F45"/>
    <mergeCell ref="E13:F13"/>
    <mergeCell ref="B18:C18"/>
    <mergeCell ref="B21:F21"/>
    <mergeCell ref="B39:F39"/>
    <mergeCell ref="C40:F40"/>
    <mergeCell ref="A2:J2"/>
    <mergeCell ref="B4:I4"/>
    <mergeCell ref="B6:C6"/>
    <mergeCell ref="E6:F6"/>
    <mergeCell ref="H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9A96E"/>
  </sheetPr>
  <dimension ref="A1:E30"/>
  <sheetViews>
    <sheetView showGridLines="0" zoomScaleNormal="100" workbookViewId="0">
      <selection activeCell="F12" sqref="F12"/>
    </sheetView>
  </sheetViews>
  <sheetFormatPr defaultColWidth="8.7109375" defaultRowHeight="15" x14ac:dyDescent="0.25"/>
  <cols>
    <col min="1" max="1" width="5" customWidth="1"/>
    <col min="2" max="2" width="35.42578125" customWidth="1"/>
    <col min="3" max="3" width="60.28515625" customWidth="1"/>
    <col min="4" max="4" width="5" customWidth="1"/>
    <col min="5" max="5" width="23.140625" customWidth="1"/>
  </cols>
  <sheetData>
    <row r="1" spans="1:5" ht="7.5" customHeight="1" x14ac:dyDescent="0.25">
      <c r="A1" s="9"/>
      <c r="B1" s="9"/>
      <c r="C1" s="9"/>
      <c r="D1" s="9"/>
      <c r="E1" s="9"/>
    </row>
    <row r="2" spans="1:5" ht="43.5" customHeight="1" x14ac:dyDescent="0.25">
      <c r="A2" s="63" t="s">
        <v>63</v>
      </c>
      <c r="B2" s="63"/>
      <c r="C2" s="63"/>
      <c r="D2" s="63"/>
      <c r="E2" s="63"/>
    </row>
    <row r="3" spans="1:5" ht="7.5" customHeight="1" x14ac:dyDescent="0.25">
      <c r="A3" s="9"/>
      <c r="B3" s="9"/>
      <c r="C3" s="9"/>
      <c r="D3" s="9"/>
      <c r="E3" s="9"/>
    </row>
    <row r="5" spans="1:5" ht="19.5" customHeight="1" x14ac:dyDescent="0.25">
      <c r="B5" s="61" t="s">
        <v>64</v>
      </c>
      <c r="C5" s="64" t="s">
        <v>65</v>
      </c>
      <c r="D5" s="64"/>
    </row>
    <row r="6" spans="1:5" ht="18.75" customHeight="1" x14ac:dyDescent="0.35">
      <c r="B6" s="86" t="s">
        <v>66</v>
      </c>
      <c r="C6" s="88" t="s">
        <v>67</v>
      </c>
      <c r="D6" s="88"/>
      <c r="E6" s="90" t="s">
        <v>100</v>
      </c>
    </row>
    <row r="7" spans="1:5" ht="18.75" customHeight="1" x14ac:dyDescent="0.35">
      <c r="B7" s="87" t="s">
        <v>68</v>
      </c>
      <c r="C7" s="89" t="s">
        <v>69</v>
      </c>
      <c r="D7" s="89"/>
      <c r="E7" s="90" t="s">
        <v>100</v>
      </c>
    </row>
    <row r="8" spans="1:5" ht="18.75" customHeight="1" x14ac:dyDescent="0.25">
      <c r="B8" s="50"/>
      <c r="C8" s="65"/>
      <c r="D8" s="65"/>
    </row>
    <row r="9" spans="1:5" ht="18.75" customHeight="1" x14ac:dyDescent="0.25">
      <c r="B9" s="48" t="s">
        <v>70</v>
      </c>
      <c r="C9" s="66" t="s">
        <v>71</v>
      </c>
      <c r="D9" s="66"/>
    </row>
    <row r="10" spans="1:5" ht="18.75" customHeight="1" x14ac:dyDescent="0.25">
      <c r="B10" s="50" t="s">
        <v>72</v>
      </c>
      <c r="C10" s="65" t="s">
        <v>73</v>
      </c>
      <c r="D10" s="65"/>
    </row>
    <row r="11" spans="1:5" ht="18.75" customHeight="1" x14ac:dyDescent="0.25">
      <c r="B11" s="48" t="s">
        <v>74</v>
      </c>
      <c r="C11" s="66" t="s">
        <v>75</v>
      </c>
      <c r="D11" s="66"/>
    </row>
    <row r="12" spans="1:5" ht="18.75" customHeight="1" x14ac:dyDescent="0.25">
      <c r="B12" s="50" t="s">
        <v>76</v>
      </c>
      <c r="C12" s="65" t="s">
        <v>75</v>
      </c>
      <c r="D12" s="65"/>
    </row>
    <row r="13" spans="1:5" ht="18.75" customHeight="1" x14ac:dyDescent="0.25">
      <c r="B13" s="48" t="s">
        <v>77</v>
      </c>
      <c r="C13" s="66" t="s">
        <v>78</v>
      </c>
      <c r="D13" s="66"/>
    </row>
    <row r="14" spans="1:5" ht="18.75" customHeight="1" x14ac:dyDescent="0.25">
      <c r="B14" s="50" t="s">
        <v>79</v>
      </c>
      <c r="C14" s="65" t="s">
        <v>80</v>
      </c>
      <c r="D14" s="65"/>
    </row>
    <row r="15" spans="1:5" ht="18.75" customHeight="1" x14ac:dyDescent="0.25">
      <c r="B15" s="48" t="s">
        <v>81</v>
      </c>
      <c r="C15" s="66" t="s">
        <v>82</v>
      </c>
      <c r="D15" s="66"/>
    </row>
    <row r="16" spans="1:5" ht="18.75" customHeight="1" x14ac:dyDescent="0.25">
      <c r="B16" s="50" t="s">
        <v>83</v>
      </c>
      <c r="C16" s="65" t="s">
        <v>84</v>
      </c>
      <c r="D16" s="65"/>
    </row>
    <row r="17" spans="1:5" ht="18.75" customHeight="1" x14ac:dyDescent="0.25">
      <c r="B17" s="48" t="s">
        <v>85</v>
      </c>
      <c r="C17" s="66" t="s">
        <v>86</v>
      </c>
      <c r="D17" s="66"/>
    </row>
    <row r="18" spans="1:5" ht="18.75" customHeight="1" x14ac:dyDescent="0.25">
      <c r="B18" s="50" t="s">
        <v>87</v>
      </c>
      <c r="C18" s="65" t="s">
        <v>88</v>
      </c>
      <c r="D18" s="65"/>
    </row>
    <row r="19" spans="1:5" ht="18.75" customHeight="1" x14ac:dyDescent="0.25">
      <c r="B19" s="48" t="s">
        <v>89</v>
      </c>
      <c r="C19" s="66" t="s">
        <v>90</v>
      </c>
      <c r="D19" s="66"/>
    </row>
    <row r="20" spans="1:5" ht="18.75" customHeight="1" x14ac:dyDescent="0.25">
      <c r="B20" s="50"/>
      <c r="C20" s="65"/>
      <c r="D20" s="65"/>
    </row>
    <row r="21" spans="1:5" ht="18.75" customHeight="1" x14ac:dyDescent="0.25">
      <c r="B21" s="48" t="s">
        <v>91</v>
      </c>
      <c r="C21" s="66" t="s">
        <v>92</v>
      </c>
      <c r="D21" s="66"/>
    </row>
    <row r="22" spans="1:5" ht="18.75" customHeight="1" x14ac:dyDescent="0.25">
      <c r="B22" s="50" t="s">
        <v>93</v>
      </c>
      <c r="C22" s="65" t="s">
        <v>94</v>
      </c>
      <c r="D22" s="65"/>
    </row>
    <row r="23" spans="1:5" ht="18.75" customHeight="1" x14ac:dyDescent="0.25">
      <c r="B23" s="48" t="s">
        <v>95</v>
      </c>
      <c r="C23" s="66" t="s">
        <v>96</v>
      </c>
      <c r="D23" s="66"/>
    </row>
    <row r="24" spans="1:5" ht="18.75" customHeight="1" x14ac:dyDescent="0.25">
      <c r="B24" s="50" t="s">
        <v>97</v>
      </c>
      <c r="C24" s="65" t="s">
        <v>98</v>
      </c>
      <c r="D24" s="65"/>
    </row>
    <row r="26" spans="1:5" hidden="1" x14ac:dyDescent="0.25"/>
    <row r="27" spans="1:5" hidden="1" x14ac:dyDescent="0.25"/>
    <row r="28" spans="1:5" hidden="1" x14ac:dyDescent="0.25"/>
    <row r="30" spans="1:5" ht="27.75" customHeight="1" x14ac:dyDescent="0.25">
      <c r="A30" s="67" t="s">
        <v>99</v>
      </c>
      <c r="B30" s="67"/>
      <c r="C30" s="67"/>
      <c r="D30" s="67"/>
      <c r="E30" s="67"/>
    </row>
  </sheetData>
  <mergeCells count="22">
    <mergeCell ref="C24:D24"/>
    <mergeCell ref="A30:E30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A2:E2"/>
    <mergeCell ref="C5:D5"/>
    <mergeCell ref="C6:D6"/>
    <mergeCell ref="C7:D7"/>
    <mergeCell ref="C8:D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Mortgage Calculator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Joey Zoubi</cp:lastModifiedBy>
  <cp:revision>0</cp:revision>
  <dcterms:created xsi:type="dcterms:W3CDTF">2026-06-26T16:28:04Z</dcterms:created>
  <dcterms:modified xsi:type="dcterms:W3CDTF">2026-06-26T17:09:04Z</dcterms:modified>
  <dc:language>en-US</dc:language>
</cp:coreProperties>
</file>